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s\SALCOST\"/>
    </mc:Choice>
  </mc:AlternateContent>
  <bookViews>
    <workbookView xWindow="0" yWindow="0" windowWidth="28800" windowHeight="14580" activeTab="1"/>
  </bookViews>
  <sheets>
    <sheet name="Notes" sheetId="3" r:id="rId1"/>
    <sheet name="Higher pd" sheetId="1" r:id="rId2"/>
    <sheet name="Lower pd" sheetId="2" r:id="rId3"/>
  </sheets>
  <calcPr calcId="152511"/>
</workbook>
</file>

<file path=xl/calcChain.xml><?xml version="1.0" encoding="utf-8"?>
<calcChain xmlns="http://schemas.openxmlformats.org/spreadsheetml/2006/main">
  <c r="E51" i="2" l="1"/>
  <c r="E50" i="2"/>
  <c r="B43" i="1"/>
  <c r="C14" i="3"/>
  <c r="C11" i="3" l="1"/>
  <c r="C12" i="3"/>
  <c r="C13" i="3"/>
  <c r="C10" i="3" l="1"/>
  <c r="C55" i="1"/>
  <c r="C9" i="3" l="1"/>
  <c r="B43" i="2" s="1"/>
  <c r="C8" i="3" l="1"/>
  <c r="C41" i="2" l="1"/>
  <c r="P41" i="2" s="1"/>
  <c r="C40" i="2"/>
  <c r="C52" i="2"/>
  <c r="C51" i="2"/>
  <c r="C50" i="2"/>
  <c r="C49" i="2"/>
  <c r="C48" i="2"/>
  <c r="L31" i="2" s="1"/>
  <c r="C47" i="2"/>
  <c r="F31" i="2" l="1"/>
  <c r="R31" i="2"/>
  <c r="J41" i="2"/>
  <c r="D41" i="2"/>
  <c r="R31" i="1"/>
  <c r="L31" i="1"/>
  <c r="P41" i="1"/>
  <c r="J41" i="1"/>
  <c r="D41" i="1"/>
  <c r="F31" i="1"/>
  <c r="C7" i="3"/>
  <c r="L27" i="1"/>
  <c r="R27" i="1" l="1"/>
  <c r="F25" i="1"/>
  <c r="F27" i="1"/>
  <c r="R19" i="1"/>
  <c r="L19" i="1"/>
  <c r="F19" i="1"/>
  <c r="R27" i="2"/>
  <c r="L27" i="2"/>
  <c r="F27" i="2"/>
  <c r="R26" i="2"/>
  <c r="L26" i="2"/>
  <c r="F26" i="2"/>
  <c r="R19" i="2"/>
  <c r="L19" i="2"/>
  <c r="F19" i="2"/>
  <c r="R14" i="2"/>
  <c r="L14" i="2"/>
  <c r="F14" i="2"/>
  <c r="L15" i="2" l="1"/>
  <c r="R15" i="2"/>
  <c r="F15" i="2"/>
  <c r="R26" i="1"/>
  <c r="L26" i="1"/>
  <c r="F26" i="1"/>
  <c r="F28" i="1" s="1"/>
  <c r="R14" i="1"/>
  <c r="L14" i="1"/>
  <c r="F14" i="1"/>
  <c r="C6" i="3"/>
  <c r="C5" i="3"/>
  <c r="C4" i="3"/>
  <c r="C3" i="3"/>
  <c r="C2" i="3"/>
  <c r="D3" i="2"/>
  <c r="P6" i="2" s="1"/>
  <c r="R6" i="2" s="1"/>
  <c r="J3" i="2"/>
  <c r="L3" i="2" s="1"/>
  <c r="P3" i="2"/>
  <c r="R3" i="2" s="1"/>
  <c r="F13" i="2"/>
  <c r="L13" i="2"/>
  <c r="R13" i="2"/>
  <c r="D40" i="2"/>
  <c r="J40" i="2"/>
  <c r="P40" i="2"/>
  <c r="F25" i="2"/>
  <c r="F28" i="2" s="1"/>
  <c r="L25" i="2"/>
  <c r="R25" i="2"/>
  <c r="R28" i="2" s="1"/>
  <c r="L28" i="2"/>
  <c r="D3" i="1"/>
  <c r="F3" i="1" s="1"/>
  <c r="J3" i="1"/>
  <c r="L3" i="1" s="1"/>
  <c r="P3" i="1"/>
  <c r="R3" i="1" s="1"/>
  <c r="F13" i="1"/>
  <c r="L13" i="1"/>
  <c r="R13" i="1"/>
  <c r="D40" i="1"/>
  <c r="J40" i="1"/>
  <c r="P40" i="1"/>
  <c r="L25" i="1"/>
  <c r="R25" i="1"/>
  <c r="R16" i="2" l="1"/>
  <c r="R28" i="1"/>
  <c r="L28" i="1"/>
  <c r="P5" i="2"/>
  <c r="R5" i="2" s="1"/>
  <c r="D5" i="2"/>
  <c r="D7" i="2"/>
  <c r="F7" i="2" s="1"/>
  <c r="J5" i="2"/>
  <c r="L5" i="2" s="1"/>
  <c r="P4" i="2"/>
  <c r="R4" i="2" s="1"/>
  <c r="P5" i="1"/>
  <c r="R5" i="1" s="1"/>
  <c r="J4" i="2"/>
  <c r="L4" i="2" s="1"/>
  <c r="D9" i="2"/>
  <c r="F9" i="2" s="1"/>
  <c r="D4" i="2"/>
  <c r="F4" i="2" s="1"/>
  <c r="F16" i="2"/>
  <c r="L16" i="2"/>
  <c r="R15" i="1"/>
  <c r="R16" i="1" s="1"/>
  <c r="F15" i="1"/>
  <c r="F16" i="1" s="1"/>
  <c r="L15" i="1"/>
  <c r="L16" i="1" s="1"/>
  <c r="D5" i="1"/>
  <c r="P9" i="1" s="1"/>
  <c r="R9" i="1" s="1"/>
  <c r="J4" i="1"/>
  <c r="L4" i="1" s="1"/>
  <c r="F3" i="2"/>
  <c r="J5" i="1"/>
  <c r="L5" i="1" s="1"/>
  <c r="P4" i="1"/>
  <c r="R4" i="1" s="1"/>
  <c r="D4" i="1"/>
  <c r="F4" i="1" s="1"/>
  <c r="J6" i="2"/>
  <c r="L6" i="2" s="1"/>
  <c r="J6" i="1"/>
  <c r="L6" i="1" s="1"/>
  <c r="P6" i="1"/>
  <c r="R6" i="1" s="1"/>
  <c r="D6" i="1"/>
  <c r="D6" i="2"/>
  <c r="D7" i="1" l="1"/>
  <c r="F7" i="1" s="1"/>
  <c r="J7" i="1"/>
  <c r="L7" i="1" s="1"/>
  <c r="P7" i="1"/>
  <c r="R7" i="1" s="1"/>
  <c r="F5" i="2"/>
  <c r="P7" i="2"/>
  <c r="R7" i="2" s="1"/>
  <c r="J7" i="2"/>
  <c r="L7" i="2" s="1"/>
  <c r="P9" i="2"/>
  <c r="R9" i="2" s="1"/>
  <c r="J9" i="2"/>
  <c r="L9" i="2" s="1"/>
  <c r="F5" i="1"/>
  <c r="J9" i="1"/>
  <c r="L9" i="1" s="1"/>
  <c r="D9" i="1"/>
  <c r="F9" i="1" s="1"/>
  <c r="D8" i="1"/>
  <c r="F8" i="1" s="1"/>
  <c r="J8" i="1"/>
  <c r="L8" i="1" s="1"/>
  <c r="P8" i="1"/>
  <c r="R8" i="1" s="1"/>
  <c r="D10" i="1"/>
  <c r="F10" i="1" s="1"/>
  <c r="J10" i="1"/>
  <c r="L10" i="1" s="1"/>
  <c r="P10" i="1"/>
  <c r="R10" i="1" s="1"/>
  <c r="F6" i="1"/>
  <c r="D8" i="2"/>
  <c r="F8" i="2" s="1"/>
  <c r="J8" i="2"/>
  <c r="L8" i="2" s="1"/>
  <c r="P8" i="2"/>
  <c r="R8" i="2" s="1"/>
  <c r="Q41" i="2" s="1"/>
  <c r="R41" i="2" s="1"/>
  <c r="R32" i="2" s="1"/>
  <c r="D10" i="2"/>
  <c r="F10" i="2" s="1"/>
  <c r="J10" i="2"/>
  <c r="L10" i="2" s="1"/>
  <c r="P10" i="2"/>
  <c r="R10" i="2" s="1"/>
  <c r="F6" i="2"/>
  <c r="F21" i="2" s="1"/>
  <c r="L33" i="1" l="1"/>
  <c r="R21" i="1"/>
  <c r="Q41" i="1"/>
  <c r="R41" i="1" s="1"/>
  <c r="R32" i="1" s="1"/>
  <c r="L21" i="2"/>
  <c r="K41" i="1"/>
  <c r="L41" i="1" s="1"/>
  <c r="L32" i="1" s="1"/>
  <c r="E41" i="1"/>
  <c r="F41" i="1" s="1"/>
  <c r="F32" i="1" s="1"/>
  <c r="E41" i="2"/>
  <c r="F41" i="2" s="1"/>
  <c r="F32" i="2" s="1"/>
  <c r="K41" i="2"/>
  <c r="L41" i="2" s="1"/>
  <c r="L32" i="2" s="1"/>
  <c r="F33" i="1"/>
  <c r="R33" i="1"/>
  <c r="R21" i="2"/>
  <c r="R33" i="2"/>
  <c r="L21" i="1"/>
  <c r="F33" i="2"/>
  <c r="F21" i="1"/>
  <c r="L33" i="2"/>
  <c r="K40" i="1"/>
  <c r="L40" i="1" s="1"/>
  <c r="L20" i="1" s="1"/>
  <c r="L11" i="1"/>
  <c r="L18" i="1" s="1"/>
  <c r="F11" i="1"/>
  <c r="E40" i="1"/>
  <c r="F40" i="1" s="1"/>
  <c r="F20" i="1" s="1"/>
  <c r="R11" i="1"/>
  <c r="Q40" i="1"/>
  <c r="R40" i="1" s="1"/>
  <c r="R20" i="1" s="1"/>
  <c r="F11" i="2"/>
  <c r="E40" i="2"/>
  <c r="F40" i="2" s="1"/>
  <c r="F20" i="2" s="1"/>
  <c r="Q40" i="2"/>
  <c r="R40" i="2" s="1"/>
  <c r="R20" i="2" s="1"/>
  <c r="R11" i="2"/>
  <c r="K40" i="2"/>
  <c r="L40" i="2" s="1"/>
  <c r="L20" i="2" s="1"/>
  <c r="L11" i="2"/>
  <c r="L22" i="1" l="1"/>
  <c r="L30" i="1"/>
  <c r="L18" i="2"/>
  <c r="L22" i="2" s="1"/>
  <c r="L30" i="2"/>
  <c r="R30" i="2"/>
  <c r="R18" i="2"/>
  <c r="R22" i="2" s="1"/>
  <c r="F30" i="2"/>
  <c r="F18" i="2"/>
  <c r="F22" i="2" s="1"/>
  <c r="F30" i="1"/>
  <c r="F18" i="1"/>
  <c r="F22" i="1" s="1"/>
  <c r="R30" i="1"/>
  <c r="R18" i="1"/>
  <c r="R22" i="1" s="1"/>
  <c r="L34" i="2" l="1"/>
  <c r="F34" i="2"/>
  <c r="R34" i="2"/>
  <c r="L34" i="1"/>
  <c r="R34" i="1"/>
  <c r="F34" i="1"/>
</calcChain>
</file>

<file path=xl/sharedStrings.xml><?xml version="1.0" encoding="utf-8"?>
<sst xmlns="http://schemas.openxmlformats.org/spreadsheetml/2006/main" count="281" uniqueCount="56">
  <si>
    <t>Where SMPLR is &lt; 90% UOWFP</t>
  </si>
  <si>
    <t>Option 1</t>
  </si>
  <si>
    <t>Option 2</t>
  </si>
  <si>
    <t>Option 3</t>
  </si>
  <si>
    <t xml:space="preserve">Current Monthly Gross Pay </t>
  </si>
  <si>
    <t>Daily Rates</t>
  </si>
  <si>
    <t>No Days</t>
  </si>
  <si>
    <t>UOWFP</t>
  </si>
  <si>
    <t>UOWHP</t>
  </si>
  <si>
    <t>SMPHR</t>
  </si>
  <si>
    <t>SMPLR</t>
  </si>
  <si>
    <t>OSHR</t>
  </si>
  <si>
    <t>OSLR</t>
  </si>
  <si>
    <t>Reclaim</t>
  </si>
  <si>
    <t>USS</t>
  </si>
  <si>
    <t>Normal</t>
  </si>
  <si>
    <t>Salary for 9 months</t>
  </si>
  <si>
    <t>Pension for 9 months</t>
  </si>
  <si>
    <t>NI</t>
  </si>
  <si>
    <t>on Mat'y Leave</t>
  </si>
  <si>
    <t>E'ee pension shortfall</t>
  </si>
  <si>
    <t xml:space="preserve">NI </t>
  </si>
  <si>
    <t>UPS</t>
  </si>
  <si>
    <t>Pension</t>
  </si>
  <si>
    <t>E'ee contrib for 9m</t>
  </si>
  <si>
    <t>E'ee contrib for 9m on mat'y</t>
  </si>
  <si>
    <t>Shortfall</t>
  </si>
  <si>
    <t>E'ee</t>
  </si>
  <si>
    <t>Note: Maternity pay for 195 days is approximately 9 months</t>
  </si>
  <si>
    <t>07/08</t>
  </si>
  <si>
    <t>08/09</t>
  </si>
  <si>
    <t>09/10</t>
  </si>
  <si>
    <t>Weekly rate</t>
  </si>
  <si>
    <t>Daily rate</t>
  </si>
  <si>
    <t>10/11</t>
  </si>
  <si>
    <t>11/12</t>
  </si>
  <si>
    <t>E'er</t>
  </si>
  <si>
    <t>NI threshold</t>
  </si>
  <si>
    <t>NI for 9 months</t>
  </si>
  <si>
    <t>NI rate</t>
  </si>
  <si>
    <t>Up to pm</t>
  </si>
  <si>
    <t>Above pm</t>
  </si>
  <si>
    <t>Rebate</t>
  </si>
  <si>
    <t>And for UPS</t>
  </si>
  <si>
    <t>pm</t>
  </si>
  <si>
    <t>Figures assume employee is</t>
  </si>
  <si>
    <t>in a salary sacrifice pension</t>
  </si>
  <si>
    <t>12/13</t>
  </si>
  <si>
    <t>13/14</t>
  </si>
  <si>
    <t>14/15</t>
  </si>
  <si>
    <t>Where SMPLR is &gt; 90% UOWFP (Salary up to £7,983)</t>
  </si>
  <si>
    <t>15/16</t>
  </si>
  <si>
    <t>16/17</t>
  </si>
  <si>
    <t>17/18</t>
  </si>
  <si>
    <t>18/19</t>
  </si>
  <si>
    <t>19/20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</si>
</sst>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0"/>
      <name val="Times New Roman"/>
    </font>
    <font>
      <sz val="8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3">
    <xf numFmtId="0" fontId="0" fillId="0" borderId="0" xfId="0"/>
    <xf numFmtId="4" fontId="0" fillId="0" borderId="0" xfId="0" applyNumberFormat="1"/>
    <xf numFmtId="4" fontId="2" fillId="0" borderId="0" xfId="0" applyNumberFormat="1" applyFont="1"/>
    <xf numFmtId="4" fontId="0" fillId="0" borderId="1" xfId="0" applyNumberFormat="1" applyBorder="1"/>
    <xf numFmtId="0" fontId="2" fillId="0" borderId="0" xfId="0" applyFont="1"/>
    <xf numFmtId="4" fontId="3" fillId="0" borderId="0" xfId="0" applyNumberFormat="1" applyFont="1"/>
    <xf numFmtId="0" fontId="0" fillId="0" borderId="0" xfId="0" applyBorder="1"/>
    <xf numFmtId="4" fontId="0" fillId="0" borderId="0" xfId="0" applyNumberFormat="1" applyBorder="1"/>
    <xf numFmtId="4" fontId="0" fillId="0" borderId="0" xfId="0" applyNumberFormat="1" applyAlignment="1">
      <alignment wrapText="1"/>
    </xf>
    <xf numFmtId="0" fontId="0" fillId="2" borderId="0" xfId="0" applyFill="1"/>
    <xf numFmtId="0" fontId="0" fillId="0" borderId="0" xfId="0" quotePrefix="1"/>
    <xf numFmtId="0" fontId="4" fillId="0" borderId="0" xfId="0" quotePrefix="1" applyNumberFormat="1" applyFont="1"/>
    <xf numFmtId="0" fontId="4" fillId="0" borderId="0" xfId="0" applyFont="1"/>
    <xf numFmtId="0" fontId="0" fillId="3" borderId="0" xfId="0" applyFill="1"/>
    <xf numFmtId="10" fontId="0" fillId="3" borderId="0" xfId="0" applyNumberFormat="1" applyFill="1"/>
    <xf numFmtId="4" fontId="4" fillId="0" borderId="0" xfId="0" applyNumberFormat="1" applyFont="1"/>
    <xf numFmtId="43" fontId="0" fillId="0" borderId="0" xfId="1" applyFont="1"/>
    <xf numFmtId="2" fontId="0" fillId="3" borderId="0" xfId="0" applyNumberFormat="1" applyFill="1"/>
    <xf numFmtId="0" fontId="4" fillId="4" borderId="0" xfId="0" applyFont="1" applyFill="1"/>
    <xf numFmtId="17" fontId="0" fillId="0" borderId="0" xfId="0" quotePrefix="1" applyNumberFormat="1"/>
    <xf numFmtId="0" fontId="4" fillId="0" borderId="0" xfId="0" applyNumberFormat="1" applyFont="1"/>
    <xf numFmtId="0" fontId="4" fillId="0" borderId="0" xfId="0" quotePrefix="1" applyFont="1"/>
    <xf numFmtId="0" fontId="0" fillId="0" borderId="0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15" sqref="B15"/>
    </sheetView>
  </sheetViews>
  <sheetFormatPr defaultRowHeight="12.75" x14ac:dyDescent="0.2"/>
  <cols>
    <col min="2" max="2" width="11.83203125" bestFit="1" customWidth="1"/>
  </cols>
  <sheetData>
    <row r="1" spans="1:3" x14ac:dyDescent="0.2">
      <c r="A1" t="s">
        <v>10</v>
      </c>
      <c r="B1" t="s">
        <v>32</v>
      </c>
      <c r="C1" t="s">
        <v>33</v>
      </c>
    </row>
    <row r="2" spans="1:3" x14ac:dyDescent="0.2">
      <c r="A2" s="10" t="s">
        <v>29</v>
      </c>
      <c r="B2">
        <v>112.75</v>
      </c>
      <c r="C2">
        <f t="shared" ref="C2:C14" si="0">ROUND(B2/5,2)</f>
        <v>22.55</v>
      </c>
    </row>
    <row r="3" spans="1:3" x14ac:dyDescent="0.2">
      <c r="A3" s="10" t="s">
        <v>30</v>
      </c>
      <c r="B3">
        <v>117.18</v>
      </c>
      <c r="C3">
        <f t="shared" si="0"/>
        <v>23.44</v>
      </c>
    </row>
    <row r="4" spans="1:3" x14ac:dyDescent="0.2">
      <c r="A4" s="10" t="s">
        <v>31</v>
      </c>
      <c r="B4">
        <v>123.06</v>
      </c>
      <c r="C4">
        <f t="shared" si="0"/>
        <v>24.61</v>
      </c>
    </row>
    <row r="5" spans="1:3" x14ac:dyDescent="0.2">
      <c r="A5" s="10" t="s">
        <v>34</v>
      </c>
      <c r="B5">
        <v>124.88</v>
      </c>
      <c r="C5">
        <f t="shared" si="0"/>
        <v>24.98</v>
      </c>
    </row>
    <row r="6" spans="1:3" x14ac:dyDescent="0.2">
      <c r="A6" s="11" t="s">
        <v>35</v>
      </c>
      <c r="B6">
        <v>128.72999999999999</v>
      </c>
      <c r="C6">
        <f t="shared" si="0"/>
        <v>25.75</v>
      </c>
    </row>
    <row r="7" spans="1:3" x14ac:dyDescent="0.2">
      <c r="A7" s="19" t="s">
        <v>47</v>
      </c>
      <c r="B7">
        <v>135.44999999999999</v>
      </c>
      <c r="C7">
        <f t="shared" si="0"/>
        <v>27.09</v>
      </c>
    </row>
    <row r="8" spans="1:3" x14ac:dyDescent="0.2">
      <c r="A8" s="20" t="s">
        <v>48</v>
      </c>
      <c r="B8">
        <v>136.78</v>
      </c>
      <c r="C8">
        <f t="shared" si="0"/>
        <v>27.36</v>
      </c>
    </row>
    <row r="9" spans="1:3" x14ac:dyDescent="0.2">
      <c r="A9" s="20" t="s">
        <v>49</v>
      </c>
      <c r="B9">
        <v>138.18</v>
      </c>
      <c r="C9">
        <f t="shared" si="0"/>
        <v>27.64</v>
      </c>
    </row>
    <row r="10" spans="1:3" x14ac:dyDescent="0.2">
      <c r="A10" s="12" t="s">
        <v>51</v>
      </c>
      <c r="B10">
        <v>139.58000000000001</v>
      </c>
      <c r="C10">
        <f t="shared" si="0"/>
        <v>27.92</v>
      </c>
    </row>
    <row r="11" spans="1:3" x14ac:dyDescent="0.2">
      <c r="A11" s="21" t="s">
        <v>52</v>
      </c>
      <c r="B11">
        <v>139.58000000000001</v>
      </c>
      <c r="C11">
        <f t="shared" si="0"/>
        <v>27.92</v>
      </c>
    </row>
    <row r="12" spans="1:3" x14ac:dyDescent="0.2">
      <c r="A12" s="21" t="s">
        <v>53</v>
      </c>
      <c r="B12">
        <v>140.97999999999999</v>
      </c>
      <c r="C12" s="16">
        <f t="shared" si="0"/>
        <v>28.2</v>
      </c>
    </row>
    <row r="13" spans="1:3" x14ac:dyDescent="0.2">
      <c r="A13" s="21" t="s">
        <v>54</v>
      </c>
      <c r="B13">
        <v>145.18</v>
      </c>
      <c r="C13">
        <f t="shared" si="0"/>
        <v>29.04</v>
      </c>
    </row>
    <row r="14" spans="1:3" x14ac:dyDescent="0.2">
      <c r="A14" s="12" t="s">
        <v>55</v>
      </c>
      <c r="B14">
        <v>148.68</v>
      </c>
      <c r="C14">
        <f t="shared" si="0"/>
        <v>29.74</v>
      </c>
    </row>
  </sheetData>
  <sheetProtection password="C5EC" sheet="1" objects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"/>
  <sheetViews>
    <sheetView tabSelected="1" workbookViewId="0">
      <selection activeCell="A3" sqref="A3"/>
    </sheetView>
  </sheetViews>
  <sheetFormatPr defaultRowHeight="12.75" x14ac:dyDescent="0.2"/>
  <cols>
    <col min="1" max="1" width="27.6640625" bestFit="1" customWidth="1"/>
    <col min="3" max="3" width="9.5" bestFit="1" customWidth="1"/>
    <col min="4" max="4" width="11.33203125" style="1" bestFit="1" customWidth="1"/>
    <col min="5" max="5" width="9.5" bestFit="1" customWidth="1"/>
    <col min="6" max="6" width="10.1640625" style="1" bestFit="1" customWidth="1"/>
    <col min="10" max="10" width="11.83203125" customWidth="1"/>
    <col min="16" max="16" width="12.1640625" customWidth="1"/>
  </cols>
  <sheetData>
    <row r="1" spans="1:18" x14ac:dyDescent="0.2">
      <c r="A1" t="s">
        <v>0</v>
      </c>
      <c r="D1" s="22" t="s">
        <v>1</v>
      </c>
      <c r="E1" s="22"/>
      <c r="J1" s="22" t="s">
        <v>2</v>
      </c>
      <c r="K1" s="22"/>
      <c r="P1" s="22" t="s">
        <v>3</v>
      </c>
      <c r="Q1" s="22"/>
    </row>
    <row r="2" spans="1:18" x14ac:dyDescent="0.2">
      <c r="A2" s="2" t="s">
        <v>4</v>
      </c>
      <c r="D2" s="2" t="s">
        <v>5</v>
      </c>
      <c r="E2" t="s">
        <v>6</v>
      </c>
      <c r="J2" s="2" t="s">
        <v>5</v>
      </c>
      <c r="K2" t="s">
        <v>6</v>
      </c>
      <c r="L2" s="1"/>
      <c r="P2" s="2" t="s">
        <v>5</v>
      </c>
      <c r="Q2" t="s">
        <v>6</v>
      </c>
      <c r="R2" s="1"/>
    </row>
    <row r="3" spans="1:18" x14ac:dyDescent="0.2">
      <c r="A3" s="9">
        <v>2000</v>
      </c>
      <c r="C3" t="s">
        <v>7</v>
      </c>
      <c r="D3" s="1">
        <f>$A$3*12/52/5</f>
        <v>92.307692307692307</v>
      </c>
      <c r="E3">
        <v>40</v>
      </c>
      <c r="F3" s="1">
        <f>E3*D3</f>
        <v>3692.3076923076924</v>
      </c>
      <c r="I3" t="s">
        <v>7</v>
      </c>
      <c r="J3" s="1">
        <f>$A$3*12/52/5</f>
        <v>92.307692307692307</v>
      </c>
      <c r="K3">
        <v>80</v>
      </c>
      <c r="L3" s="1">
        <f>K3*J3</f>
        <v>7384.6153846153848</v>
      </c>
      <c r="O3" t="s">
        <v>7</v>
      </c>
      <c r="P3" s="1">
        <f>$A$3*12/52/5</f>
        <v>92.307692307692307</v>
      </c>
      <c r="Q3">
        <v>0</v>
      </c>
      <c r="R3" s="1">
        <f>Q3*P3</f>
        <v>0</v>
      </c>
    </row>
    <row r="4" spans="1:18" x14ac:dyDescent="0.2">
      <c r="C4" t="s">
        <v>8</v>
      </c>
      <c r="D4" s="1">
        <f>$D$3/2</f>
        <v>46.153846153846153</v>
      </c>
      <c r="E4">
        <v>80</v>
      </c>
      <c r="F4" s="1">
        <f>E4*D4</f>
        <v>3692.3076923076924</v>
      </c>
      <c r="I4" t="s">
        <v>8</v>
      </c>
      <c r="J4" s="1">
        <f>$D$3/2</f>
        <v>46.153846153846153</v>
      </c>
      <c r="K4">
        <v>0</v>
      </c>
      <c r="L4" s="1">
        <f>J4*K4</f>
        <v>0</v>
      </c>
      <c r="O4" t="s">
        <v>8</v>
      </c>
      <c r="P4" s="1">
        <f>$D$3/2</f>
        <v>46.153846153846153</v>
      </c>
      <c r="Q4">
        <v>0</v>
      </c>
      <c r="R4" s="1">
        <f>P4*Q4</f>
        <v>0</v>
      </c>
    </row>
    <row r="5" spans="1:18" x14ac:dyDescent="0.2">
      <c r="C5" t="s">
        <v>9</v>
      </c>
      <c r="D5" s="1">
        <f>$D$3*0.9</f>
        <v>83.07692307692308</v>
      </c>
      <c r="E5">
        <v>30</v>
      </c>
      <c r="F5" s="1">
        <f t="shared" ref="F5:F10" si="0">E5*D5</f>
        <v>2492.3076923076924</v>
      </c>
      <c r="I5" t="s">
        <v>9</v>
      </c>
      <c r="J5" s="1">
        <f>$D$3*0.9</f>
        <v>83.07692307692308</v>
      </c>
      <c r="K5">
        <v>30</v>
      </c>
      <c r="L5" s="1">
        <f t="shared" ref="L5:L10" si="1">K5*J5</f>
        <v>2492.3076923076924</v>
      </c>
      <c r="O5" t="s">
        <v>9</v>
      </c>
      <c r="P5" s="1">
        <f>$D$3*0.9</f>
        <v>83.07692307692308</v>
      </c>
      <c r="Q5">
        <v>30</v>
      </c>
      <c r="R5" s="1">
        <f t="shared" ref="R5:R10" si="2">Q5*P5</f>
        <v>2492.3076923076924</v>
      </c>
    </row>
    <row r="6" spans="1:18" x14ac:dyDescent="0.2">
      <c r="C6" t="s">
        <v>10</v>
      </c>
      <c r="D6" s="1">
        <f>B43</f>
        <v>29.74</v>
      </c>
      <c r="E6">
        <v>165</v>
      </c>
      <c r="F6" s="1">
        <f t="shared" si="0"/>
        <v>4907.0999999999995</v>
      </c>
      <c r="I6" t="s">
        <v>10</v>
      </c>
      <c r="J6" s="1">
        <f>B43</f>
        <v>29.74</v>
      </c>
      <c r="K6">
        <v>165</v>
      </c>
      <c r="L6" s="1">
        <f t="shared" si="1"/>
        <v>4907.0999999999995</v>
      </c>
      <c r="O6" t="s">
        <v>10</v>
      </c>
      <c r="P6" s="1">
        <f>B43</f>
        <v>29.74</v>
      </c>
      <c r="Q6">
        <v>165</v>
      </c>
      <c r="R6" s="1">
        <f t="shared" si="2"/>
        <v>4907.0999999999995</v>
      </c>
    </row>
    <row r="7" spans="1:18" x14ac:dyDescent="0.2">
      <c r="C7" t="s">
        <v>11</v>
      </c>
      <c r="D7" s="1">
        <f>-$D$5</f>
        <v>-83.07692307692308</v>
      </c>
      <c r="E7">
        <v>30</v>
      </c>
      <c r="F7" s="1">
        <f t="shared" si="0"/>
        <v>-2492.3076923076924</v>
      </c>
      <c r="I7" t="s">
        <v>11</v>
      </c>
      <c r="J7" s="1">
        <f>-$D$5</f>
        <v>-83.07692307692308</v>
      </c>
      <c r="K7">
        <v>30</v>
      </c>
      <c r="L7" s="1">
        <f t="shared" si="1"/>
        <v>-2492.3076923076924</v>
      </c>
      <c r="O7" t="s">
        <v>11</v>
      </c>
      <c r="P7" s="1">
        <f>-$D$5</f>
        <v>-83.07692307692308</v>
      </c>
      <c r="Q7">
        <v>0</v>
      </c>
      <c r="R7" s="1">
        <f t="shared" si="2"/>
        <v>0</v>
      </c>
    </row>
    <row r="8" spans="1:18" x14ac:dyDescent="0.2">
      <c r="C8" t="s">
        <v>12</v>
      </c>
      <c r="D8" s="1">
        <f>-$D$6</f>
        <v>-29.74</v>
      </c>
      <c r="E8">
        <v>10</v>
      </c>
      <c r="F8" s="1">
        <f t="shared" si="0"/>
        <v>-297.39999999999998</v>
      </c>
      <c r="I8" t="s">
        <v>12</v>
      </c>
      <c r="J8" s="1">
        <f>-$D$6</f>
        <v>-29.74</v>
      </c>
      <c r="K8">
        <v>50</v>
      </c>
      <c r="L8" s="1">
        <f t="shared" si="1"/>
        <v>-1487</v>
      </c>
      <c r="O8" t="s">
        <v>12</v>
      </c>
      <c r="P8" s="1">
        <f>-$D$6</f>
        <v>-29.74</v>
      </c>
      <c r="Q8">
        <v>0</v>
      </c>
      <c r="R8" s="1">
        <f t="shared" si="2"/>
        <v>0</v>
      </c>
    </row>
    <row r="9" spans="1:18" x14ac:dyDescent="0.2">
      <c r="B9" t="s">
        <v>13</v>
      </c>
      <c r="C9" t="s">
        <v>9</v>
      </c>
      <c r="D9" s="1">
        <f>-$D$5*0.92</f>
        <v>-76.430769230769243</v>
      </c>
      <c r="E9">
        <v>30</v>
      </c>
      <c r="F9" s="1">
        <f t="shared" si="0"/>
        <v>-2292.9230769230771</v>
      </c>
      <c r="H9" t="s">
        <v>13</v>
      </c>
      <c r="I9" t="s">
        <v>9</v>
      </c>
      <c r="J9" s="1">
        <f>-$D$5*0.92</f>
        <v>-76.430769230769243</v>
      </c>
      <c r="K9">
        <v>30</v>
      </c>
      <c r="L9" s="1">
        <f t="shared" si="1"/>
        <v>-2292.9230769230771</v>
      </c>
      <c r="N9" t="s">
        <v>13</v>
      </c>
      <c r="O9" t="s">
        <v>9</v>
      </c>
      <c r="P9" s="1">
        <f>-$D$5*0.92</f>
        <v>-76.430769230769243</v>
      </c>
      <c r="Q9">
        <v>30</v>
      </c>
      <c r="R9" s="1">
        <f t="shared" si="2"/>
        <v>-2292.9230769230771</v>
      </c>
    </row>
    <row r="10" spans="1:18" x14ac:dyDescent="0.2">
      <c r="B10" t="s">
        <v>13</v>
      </c>
      <c r="C10" t="s">
        <v>10</v>
      </c>
      <c r="D10" s="1">
        <f>-$D$6*0.92</f>
        <v>-27.360800000000001</v>
      </c>
      <c r="E10">
        <v>165</v>
      </c>
      <c r="F10" s="1">
        <f t="shared" si="0"/>
        <v>-4514.5320000000002</v>
      </c>
      <c r="H10" t="s">
        <v>13</v>
      </c>
      <c r="I10" t="s">
        <v>10</v>
      </c>
      <c r="J10" s="1">
        <f>-$D$6*0.92</f>
        <v>-27.360800000000001</v>
      </c>
      <c r="K10">
        <v>165</v>
      </c>
      <c r="L10" s="1">
        <f t="shared" si="1"/>
        <v>-4514.5320000000002</v>
      </c>
      <c r="N10" t="s">
        <v>13</v>
      </c>
      <c r="O10" t="s">
        <v>10</v>
      </c>
      <c r="P10" s="1">
        <f>-$D$6*0.92</f>
        <v>-27.360800000000001</v>
      </c>
      <c r="Q10">
        <v>165</v>
      </c>
      <c r="R10" s="1">
        <f t="shared" si="2"/>
        <v>-4514.5320000000002</v>
      </c>
    </row>
    <row r="11" spans="1:18" x14ac:dyDescent="0.2">
      <c r="F11" s="3">
        <f>SUM(F3:F10)</f>
        <v>5186.8603076923091</v>
      </c>
      <c r="J11" s="1"/>
      <c r="L11" s="3">
        <f>SUM(L3:L10)</f>
        <v>3997.2603076923069</v>
      </c>
      <c r="P11" s="1"/>
      <c r="R11" s="3">
        <f>SUM(R3:R10)</f>
        <v>591.95261538461455</v>
      </c>
    </row>
    <row r="12" spans="1:18" x14ac:dyDescent="0.2">
      <c r="C12" s="4" t="s">
        <v>14</v>
      </c>
      <c r="D12" s="5" t="s">
        <v>15</v>
      </c>
      <c r="I12" s="4" t="s">
        <v>14</v>
      </c>
      <c r="J12" s="5" t="s">
        <v>15</v>
      </c>
      <c r="L12" s="1"/>
      <c r="O12" s="4" t="s">
        <v>14</v>
      </c>
      <c r="P12" s="5" t="s">
        <v>15</v>
      </c>
      <c r="R12" s="1"/>
    </row>
    <row r="13" spans="1:18" x14ac:dyDescent="0.2">
      <c r="A13" s="18" t="s">
        <v>45</v>
      </c>
      <c r="D13" s="1" t="s">
        <v>16</v>
      </c>
      <c r="F13" s="1">
        <f>$A$3*9</f>
        <v>18000</v>
      </c>
      <c r="J13" s="1" t="s">
        <v>16</v>
      </c>
      <c r="L13" s="1">
        <f>$A$3*9</f>
        <v>18000</v>
      </c>
      <c r="P13" s="1" t="s">
        <v>16</v>
      </c>
      <c r="R13" s="1">
        <f>$A$3*9</f>
        <v>18000</v>
      </c>
    </row>
    <row r="14" spans="1:18" x14ac:dyDescent="0.2">
      <c r="A14" s="18" t="s">
        <v>46</v>
      </c>
      <c r="D14" s="1" t="s">
        <v>17</v>
      </c>
      <c r="F14" s="1">
        <f>$A$3*9*$C$47</f>
        <v>3510</v>
      </c>
      <c r="J14" s="1" t="s">
        <v>17</v>
      </c>
      <c r="L14" s="1">
        <f>$A$3*9*$C$47</f>
        <v>3510</v>
      </c>
      <c r="P14" s="1" t="s">
        <v>17</v>
      </c>
      <c r="R14" s="1">
        <f>$A$3*9*$C$47</f>
        <v>3510</v>
      </c>
    </row>
    <row r="15" spans="1:18" x14ac:dyDescent="0.2">
      <c r="D15" s="15" t="s">
        <v>38</v>
      </c>
      <c r="F15" s="1">
        <f>IF((($A$3-($C$40*$A$3))&lt;$E$50),(($A$3-$C$49-($C$40*$A$3))*9*$C$50)-(9*$C$52),((($A$3-($A$3*$C$40)-$E$50)*9*$C$51)+(($E$50-$C$49)*9*$C$50)-(9*$C$52)))</f>
        <v>1372.41</v>
      </c>
      <c r="J15" s="15" t="s">
        <v>38</v>
      </c>
      <c r="L15" s="1">
        <f>IF((($A$3-($C$40*$A$3))&lt;$E$50),(($A$3-$C$49-($C$40*$A$3))*9*$C$50)-(9*$C$52),((($A$3-($A$3*$C$40)-$E$50)*9*$C$51)+(($E$50-$C$49)*9*$C$50)-(9*$C$52)))</f>
        <v>1372.41</v>
      </c>
      <c r="P15" s="15" t="s">
        <v>38</v>
      </c>
      <c r="R15" s="1">
        <f>IF((($A$3-($C$40*$A$3))&lt;$E$50),(($A$3-$C$49-($C$40*$A$3))*9*$C$50)-(9*$C$52),((($A$3-($A$3*$C$40)-$E$50)*9*$C$51)+(($E$50-$C$49)*9*$C$50)-(9*$C$52)))</f>
        <v>1372.41</v>
      </c>
    </row>
    <row r="16" spans="1:18" x14ac:dyDescent="0.2">
      <c r="F16" s="3">
        <f>SUM(F13:F15)</f>
        <v>22882.41</v>
      </c>
      <c r="J16" s="1"/>
      <c r="L16" s="3">
        <f>SUM(L13:L15)</f>
        <v>22882.41</v>
      </c>
      <c r="P16" s="1"/>
      <c r="R16" s="3">
        <f>SUM(R13:R15)</f>
        <v>22882.41</v>
      </c>
    </row>
    <row r="17" spans="3:18" x14ac:dyDescent="0.2">
      <c r="D17" s="5" t="s">
        <v>19</v>
      </c>
      <c r="J17" s="5" t="s">
        <v>19</v>
      </c>
      <c r="L17" s="1"/>
      <c r="P17" s="5" t="s">
        <v>19</v>
      </c>
      <c r="R17" s="1"/>
    </row>
    <row r="18" spans="3:18" x14ac:dyDescent="0.2">
      <c r="D18" s="1" t="s">
        <v>16</v>
      </c>
      <c r="F18" s="1">
        <f>F11</f>
        <v>5186.8603076923091</v>
      </c>
      <c r="J18" s="1" t="s">
        <v>16</v>
      </c>
      <c r="L18" s="1">
        <f>L11</f>
        <v>3997.2603076923069</v>
      </c>
      <c r="P18" s="1" t="s">
        <v>16</v>
      </c>
      <c r="R18" s="1">
        <f>R11</f>
        <v>591.95261538461455</v>
      </c>
    </row>
    <row r="19" spans="3:18" x14ac:dyDescent="0.2">
      <c r="D19" s="1" t="s">
        <v>17</v>
      </c>
      <c r="F19" s="1">
        <f>$A$3*9*$C$47</f>
        <v>3510</v>
      </c>
      <c r="J19" s="1" t="s">
        <v>17</v>
      </c>
      <c r="L19" s="1">
        <f>$A$3*9*$C$47</f>
        <v>3510</v>
      </c>
      <c r="P19" s="1" t="s">
        <v>17</v>
      </c>
      <c r="R19" s="1">
        <f>$A$3*9*$C$47</f>
        <v>3510</v>
      </c>
    </row>
    <row r="20" spans="3:18" x14ac:dyDescent="0.2">
      <c r="D20" s="1" t="s">
        <v>20</v>
      </c>
      <c r="F20" s="1">
        <f>F40</f>
        <v>528.50024615384609</v>
      </c>
      <c r="J20" s="1" t="s">
        <v>20</v>
      </c>
      <c r="L20" s="1">
        <f>L40</f>
        <v>633.1850461538462</v>
      </c>
      <c r="P20" s="1" t="s">
        <v>20</v>
      </c>
      <c r="R20" s="1">
        <f>R40</f>
        <v>932.85212307692314</v>
      </c>
    </row>
    <row r="21" spans="3:18" x14ac:dyDescent="0.2">
      <c r="D21" s="1" t="s">
        <v>21</v>
      </c>
      <c r="F21" s="1">
        <f>(SUM(F3:F8)-(9*$C$49))*$C$50</f>
        <v>762.21752307692327</v>
      </c>
      <c r="J21" s="1" t="s">
        <v>21</v>
      </c>
      <c r="L21" s="1">
        <f>(SUM(L3:L8)-(9*$C$49))*$C$50</f>
        <v>598.05272307692314</v>
      </c>
      <c r="P21" s="1" t="s">
        <v>21</v>
      </c>
      <c r="R21" s="1">
        <f>(SUM(R3:R8)-(9*$C$49))*$C$50</f>
        <v>128.12026153846148</v>
      </c>
    </row>
    <row r="22" spans="3:18" x14ac:dyDescent="0.2">
      <c r="F22" s="3">
        <f>SUM(F18:F21)</f>
        <v>9987.5780769230787</v>
      </c>
      <c r="J22" s="1"/>
      <c r="L22" s="3">
        <f>SUM(L18:L21)</f>
        <v>8738.498076923077</v>
      </c>
      <c r="P22" s="1"/>
      <c r="R22" s="3">
        <f>SUM(R18:R21)</f>
        <v>5162.9249999999993</v>
      </c>
    </row>
    <row r="23" spans="3:18" x14ac:dyDescent="0.2">
      <c r="J23" s="1"/>
      <c r="L23" s="1"/>
      <c r="P23" s="1"/>
      <c r="R23" s="1"/>
    </row>
    <row r="24" spans="3:18" x14ac:dyDescent="0.2">
      <c r="C24" s="4" t="s">
        <v>22</v>
      </c>
      <c r="D24" s="5" t="s">
        <v>15</v>
      </c>
      <c r="I24" s="4" t="s">
        <v>22</v>
      </c>
      <c r="J24" s="5" t="s">
        <v>15</v>
      </c>
      <c r="L24" s="1"/>
      <c r="O24" s="4" t="s">
        <v>22</v>
      </c>
      <c r="P24" s="5" t="s">
        <v>15</v>
      </c>
      <c r="R24" s="1"/>
    </row>
    <row r="25" spans="3:18" x14ac:dyDescent="0.2">
      <c r="D25" s="1" t="s">
        <v>16</v>
      </c>
      <c r="F25" s="1">
        <f>$A$3*9</f>
        <v>18000</v>
      </c>
      <c r="J25" s="1" t="s">
        <v>16</v>
      </c>
      <c r="L25" s="1">
        <f>$A$3*9</f>
        <v>18000</v>
      </c>
      <c r="P25" s="1" t="s">
        <v>16</v>
      </c>
      <c r="R25" s="1">
        <f>$A$3*9</f>
        <v>18000</v>
      </c>
    </row>
    <row r="26" spans="3:18" x14ac:dyDescent="0.2">
      <c r="D26" s="1" t="s">
        <v>17</v>
      </c>
      <c r="F26" s="1">
        <f>$A$3*9*$C$48</f>
        <v>4230</v>
      </c>
      <c r="J26" s="1" t="s">
        <v>17</v>
      </c>
      <c r="L26" s="1">
        <f>$A$3*9*$C$48</f>
        <v>4230</v>
      </c>
      <c r="P26" s="1" t="s">
        <v>17</v>
      </c>
      <c r="R26" s="1">
        <f>$A$3*9*$C$48</f>
        <v>4230</v>
      </c>
    </row>
    <row r="27" spans="3:18" x14ac:dyDescent="0.2">
      <c r="D27" s="1" t="s">
        <v>18</v>
      </c>
      <c r="F27" s="1">
        <f>($A$3-$C$49-($A$3*$C$41))*9*$C$56</f>
        <v>1454.3820000000001</v>
      </c>
      <c r="J27" s="1" t="s">
        <v>18</v>
      </c>
      <c r="L27" s="1">
        <f>($A$3-$C$49-($A$3*$C$41))*9*$C$56</f>
        <v>1454.3820000000001</v>
      </c>
      <c r="P27" s="1" t="s">
        <v>18</v>
      </c>
      <c r="R27" s="1">
        <f>($A$3-$C$49-($A$3*$C$41))*9*$C$56</f>
        <v>1454.3820000000001</v>
      </c>
    </row>
    <row r="28" spans="3:18" x14ac:dyDescent="0.2">
      <c r="F28" s="3">
        <f>SUM(F25:F27)</f>
        <v>23684.382000000001</v>
      </c>
      <c r="J28" s="1"/>
      <c r="L28" s="3">
        <f>SUM(L25:L27)</f>
        <v>23684.382000000001</v>
      </c>
      <c r="P28" s="1"/>
      <c r="R28" s="3">
        <f>SUM(R25:R27)</f>
        <v>23684.382000000001</v>
      </c>
    </row>
    <row r="29" spans="3:18" x14ac:dyDescent="0.2">
      <c r="D29" s="5" t="s">
        <v>19</v>
      </c>
      <c r="J29" s="5" t="s">
        <v>19</v>
      </c>
      <c r="L29" s="1"/>
      <c r="P29" s="5" t="s">
        <v>19</v>
      </c>
      <c r="R29" s="1"/>
    </row>
    <row r="30" spans="3:18" x14ac:dyDescent="0.2">
      <c r="D30" s="1" t="s">
        <v>16</v>
      </c>
      <c r="F30" s="1">
        <f>F11</f>
        <v>5186.8603076923091</v>
      </c>
      <c r="J30" s="1" t="s">
        <v>16</v>
      </c>
      <c r="L30" s="1">
        <f>L11</f>
        <v>3997.2603076923069</v>
      </c>
      <c r="P30" s="1" t="s">
        <v>16</v>
      </c>
      <c r="R30" s="1">
        <f>R11</f>
        <v>591.95261538461455</v>
      </c>
    </row>
    <row r="31" spans="3:18" x14ac:dyDescent="0.2">
      <c r="D31" s="1" t="s">
        <v>17</v>
      </c>
      <c r="F31" s="1">
        <f>$A$3*9*$C$48</f>
        <v>4230</v>
      </c>
      <c r="J31" s="1" t="s">
        <v>17</v>
      </c>
      <c r="L31" s="1">
        <f>$A$3*9*$C$48</f>
        <v>4230</v>
      </c>
      <c r="P31" s="1" t="s">
        <v>17</v>
      </c>
      <c r="R31" s="1">
        <f>$A$3*9*$C$48</f>
        <v>4230</v>
      </c>
    </row>
    <row r="32" spans="3:18" x14ac:dyDescent="0.2">
      <c r="D32" s="1" t="s">
        <v>20</v>
      </c>
      <c r="F32" s="1">
        <f>F41</f>
        <v>659.50034615384607</v>
      </c>
      <c r="J32" s="1" t="s">
        <v>20</v>
      </c>
      <c r="L32" s="1">
        <f>L41</f>
        <v>395.7406538461538</v>
      </c>
      <c r="P32" s="1" t="s">
        <v>20</v>
      </c>
      <c r="R32" s="1">
        <f>R41</f>
        <v>583.03257692307693</v>
      </c>
    </row>
    <row r="33" spans="1:18" x14ac:dyDescent="0.2">
      <c r="D33" s="1" t="s">
        <v>21</v>
      </c>
      <c r="F33" s="1">
        <f>(SUM(F3:F8)-(9*$C$49))*$C$56</f>
        <v>762.21752307692327</v>
      </c>
      <c r="J33" s="1" t="s">
        <v>21</v>
      </c>
      <c r="L33" s="1">
        <f>(SUM(L3:L8)-(9*$C$49))*$C$56</f>
        <v>598.05272307692314</v>
      </c>
      <c r="P33" s="1" t="s">
        <v>21</v>
      </c>
      <c r="R33" s="1">
        <f>(SUM(R3:R8)-(9*$C$49))*$C$56</f>
        <v>128.12026153846148</v>
      </c>
    </row>
    <row r="34" spans="1:18" x14ac:dyDescent="0.2">
      <c r="F34" s="3">
        <f>SUM(F30:F33)</f>
        <v>10838.578176923078</v>
      </c>
      <c r="J34" s="1"/>
      <c r="L34" s="3">
        <f>SUM(L30:L33)</f>
        <v>9221.0536846153864</v>
      </c>
      <c r="P34" s="1"/>
      <c r="R34" s="3">
        <f>SUM(R30:R33)</f>
        <v>5533.1054538461531</v>
      </c>
    </row>
    <row r="35" spans="1:18" x14ac:dyDescent="0.2">
      <c r="J35" s="1"/>
      <c r="L35" s="1"/>
      <c r="P35" s="1"/>
      <c r="R35" s="1"/>
    </row>
    <row r="36" spans="1:18" x14ac:dyDescent="0.2">
      <c r="A36" t="s">
        <v>28</v>
      </c>
      <c r="J36" s="1"/>
      <c r="L36" s="1"/>
      <c r="P36" s="1"/>
      <c r="R36" s="1"/>
    </row>
    <row r="37" spans="1:18" x14ac:dyDescent="0.2">
      <c r="J37" s="1"/>
      <c r="L37" s="1"/>
      <c r="P37" s="1"/>
      <c r="R37" s="1"/>
    </row>
    <row r="38" spans="1:18" s="6" customFormat="1" x14ac:dyDescent="0.2">
      <c r="D38" s="7"/>
      <c r="F38" s="7"/>
      <c r="J38" s="7"/>
      <c r="L38" s="7"/>
      <c r="P38" s="7"/>
      <c r="R38" s="7"/>
    </row>
    <row r="39" spans="1:18" ht="51" x14ac:dyDescent="0.2">
      <c r="B39" t="s">
        <v>23</v>
      </c>
      <c r="D39" s="8" t="s">
        <v>24</v>
      </c>
      <c r="E39" s="8" t="s">
        <v>25</v>
      </c>
      <c r="F39" s="1" t="s">
        <v>26</v>
      </c>
      <c r="J39" s="8" t="s">
        <v>24</v>
      </c>
      <c r="K39" s="8" t="s">
        <v>25</v>
      </c>
      <c r="L39" s="1" t="s">
        <v>26</v>
      </c>
      <c r="P39" s="8" t="s">
        <v>24</v>
      </c>
      <c r="Q39" s="8" t="s">
        <v>25</v>
      </c>
      <c r="R39" s="1" t="s">
        <v>26</v>
      </c>
    </row>
    <row r="40" spans="1:18" x14ac:dyDescent="0.2">
      <c r="A40" t="s">
        <v>14</v>
      </c>
      <c r="B40" t="s">
        <v>27</v>
      </c>
      <c r="C40" s="14">
        <v>8.7999999999999995E-2</v>
      </c>
      <c r="D40" s="1">
        <f>$A$3*$C$40*9</f>
        <v>1584</v>
      </c>
      <c r="E40" s="1">
        <f>SUM(F3:F8)*$C$40</f>
        <v>1055.4997538461539</v>
      </c>
      <c r="F40" s="1">
        <f>D40-E40</f>
        <v>528.50024615384609</v>
      </c>
      <c r="J40" s="1">
        <f>$A$3*$C$40*9</f>
        <v>1584</v>
      </c>
      <c r="K40" s="1">
        <f>SUM(L3:L8)*$C$40</f>
        <v>950.8149538461538</v>
      </c>
      <c r="L40" s="1">
        <f>J40-K40</f>
        <v>633.1850461538462</v>
      </c>
      <c r="P40" s="1">
        <f>$A$3*$C$40*9</f>
        <v>1584</v>
      </c>
      <c r="Q40" s="1">
        <f>SUM(R3:R8)*$C$40</f>
        <v>651.14787692307686</v>
      </c>
      <c r="R40" s="1">
        <f>P40-Q40</f>
        <v>932.85212307692314</v>
      </c>
    </row>
    <row r="41" spans="1:18" x14ac:dyDescent="0.2">
      <c r="A41" t="s">
        <v>22</v>
      </c>
      <c r="B41" t="s">
        <v>27</v>
      </c>
      <c r="C41" s="14">
        <v>5.5E-2</v>
      </c>
      <c r="D41" s="1">
        <f>$A$3*$C$41*9</f>
        <v>990</v>
      </c>
      <c r="E41" s="1">
        <f>SUM(F4:F9)*$C$41</f>
        <v>330.49965384615393</v>
      </c>
      <c r="F41" s="1">
        <f>D41-E41</f>
        <v>659.50034615384607</v>
      </c>
      <c r="J41" s="1">
        <f>$A$3*$C$41*9</f>
        <v>990</v>
      </c>
      <c r="K41" s="1">
        <f>SUM(L3:L8)*$C$41</f>
        <v>594.2593461538462</v>
      </c>
      <c r="L41" s="1">
        <f>J41-K41</f>
        <v>395.7406538461538</v>
      </c>
      <c r="P41" s="1">
        <f>$A$3*$C$41*9</f>
        <v>990</v>
      </c>
      <c r="Q41" s="1">
        <f>SUM(R3:R8)*$C$41</f>
        <v>406.96742307692307</v>
      </c>
      <c r="R41" s="1">
        <f>P41-Q41</f>
        <v>583.03257692307693</v>
      </c>
    </row>
    <row r="43" spans="1:18" x14ac:dyDescent="0.2">
      <c r="A43" t="s">
        <v>10</v>
      </c>
      <c r="B43" s="13">
        <f>Notes!C14</f>
        <v>29.74</v>
      </c>
    </row>
    <row r="46" spans="1:18" x14ac:dyDescent="0.2">
      <c r="B46" t="s">
        <v>23</v>
      </c>
    </row>
    <row r="47" spans="1:18" x14ac:dyDescent="0.2">
      <c r="A47" t="s">
        <v>14</v>
      </c>
      <c r="B47" t="s">
        <v>36</v>
      </c>
      <c r="C47" s="14">
        <v>0.19500000000000001</v>
      </c>
    </row>
    <row r="48" spans="1:18" x14ac:dyDescent="0.2">
      <c r="A48" t="s">
        <v>22</v>
      </c>
      <c r="B48" t="s">
        <v>36</v>
      </c>
      <c r="C48" s="14">
        <v>0.23499999999999999</v>
      </c>
    </row>
    <row r="49" spans="1:6" x14ac:dyDescent="0.2">
      <c r="A49" s="12" t="s">
        <v>37</v>
      </c>
      <c r="C49" s="13">
        <v>719</v>
      </c>
    </row>
    <row r="50" spans="1:6" x14ac:dyDescent="0.2">
      <c r="A50" s="12" t="s">
        <v>39</v>
      </c>
      <c r="C50" s="14">
        <v>0.13800000000000001</v>
      </c>
      <c r="D50" s="15" t="s">
        <v>40</v>
      </c>
      <c r="E50" s="16">
        <v>4167</v>
      </c>
    </row>
    <row r="51" spans="1:6" x14ac:dyDescent="0.2">
      <c r="A51" s="12" t="s">
        <v>39</v>
      </c>
      <c r="C51" s="14">
        <v>0.13800000000000001</v>
      </c>
      <c r="D51" s="15" t="s">
        <v>41</v>
      </c>
      <c r="E51" s="16">
        <v>4167</v>
      </c>
      <c r="F51" s="15"/>
    </row>
    <row r="52" spans="1:6" x14ac:dyDescent="0.2">
      <c r="A52" s="12" t="s">
        <v>42</v>
      </c>
      <c r="C52" s="17"/>
      <c r="D52" s="15"/>
    </row>
    <row r="54" spans="1:6" x14ac:dyDescent="0.2">
      <c r="A54" t="s">
        <v>22</v>
      </c>
    </row>
    <row r="55" spans="1:6" x14ac:dyDescent="0.2">
      <c r="A55" s="12" t="s">
        <v>37</v>
      </c>
      <c r="C55" s="13">
        <f>C49</f>
        <v>719</v>
      </c>
    </row>
    <row r="56" spans="1:6" x14ac:dyDescent="0.2">
      <c r="A56" s="12" t="s">
        <v>39</v>
      </c>
      <c r="C56" s="14">
        <v>0.13800000000000001</v>
      </c>
    </row>
  </sheetData>
  <sheetProtection password="C5EC" sheet="1" objects="1" scenarios="1"/>
  <protectedRanges>
    <protectedRange sqref="A3" name="Range1"/>
  </protectedRanges>
  <mergeCells count="3">
    <mergeCell ref="D1:E1"/>
    <mergeCell ref="J1:K1"/>
    <mergeCell ref="P1:Q1"/>
  </mergeCells>
  <phoneticPr fontId="1" type="noConversion"/>
  <pageMargins left="0.75" right="0.75" top="1" bottom="1" header="0.5" footer="0.5"/>
  <pageSetup paperSize="9" scale="7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"/>
  <sheetViews>
    <sheetView topLeftCell="A10" workbookViewId="0">
      <selection activeCell="E52" sqref="E52"/>
    </sheetView>
  </sheetViews>
  <sheetFormatPr defaultRowHeight="12.75" x14ac:dyDescent="0.2"/>
  <cols>
    <col min="1" max="1" width="27.6640625" bestFit="1" customWidth="1"/>
    <col min="3" max="3" width="11.6640625" customWidth="1"/>
    <col min="4" max="4" width="11.33203125" style="1" bestFit="1" customWidth="1"/>
    <col min="6" max="6" width="9.83203125" style="1" bestFit="1" customWidth="1"/>
    <col min="10" max="10" width="11.83203125" customWidth="1"/>
    <col min="16" max="16" width="12.1640625" customWidth="1"/>
  </cols>
  <sheetData>
    <row r="1" spans="1:18" x14ac:dyDescent="0.2">
      <c r="A1" s="12" t="s">
        <v>50</v>
      </c>
      <c r="D1" s="22" t="s">
        <v>1</v>
      </c>
      <c r="E1" s="22"/>
      <c r="J1" s="22" t="s">
        <v>2</v>
      </c>
      <c r="K1" s="22"/>
      <c r="P1" s="22" t="s">
        <v>3</v>
      </c>
      <c r="Q1" s="22"/>
    </row>
    <row r="2" spans="1:18" x14ac:dyDescent="0.2">
      <c r="A2" s="2" t="s">
        <v>4</v>
      </c>
      <c r="D2" s="2" t="s">
        <v>5</v>
      </c>
      <c r="E2" t="s">
        <v>6</v>
      </c>
      <c r="J2" s="2" t="s">
        <v>5</v>
      </c>
      <c r="K2" t="s">
        <v>6</v>
      </c>
      <c r="L2" s="1"/>
      <c r="P2" s="2" t="s">
        <v>5</v>
      </c>
      <c r="Q2" t="s">
        <v>6</v>
      </c>
      <c r="R2" s="1"/>
    </row>
    <row r="3" spans="1:18" x14ac:dyDescent="0.2">
      <c r="A3" s="9">
        <v>1000</v>
      </c>
      <c r="C3" t="s">
        <v>7</v>
      </c>
      <c r="D3" s="1">
        <f>$A$3*12/52/5</f>
        <v>46.153846153846153</v>
      </c>
      <c r="E3">
        <v>40</v>
      </c>
      <c r="F3" s="1">
        <f>E3*D3</f>
        <v>1846.1538461538462</v>
      </c>
      <c r="I3" t="s">
        <v>7</v>
      </c>
      <c r="J3" s="1">
        <f>$A$3*12/52/5</f>
        <v>46.153846153846153</v>
      </c>
      <c r="K3">
        <v>80</v>
      </c>
      <c r="L3" s="1">
        <f>K3*J3</f>
        <v>3692.3076923076924</v>
      </c>
      <c r="O3" t="s">
        <v>7</v>
      </c>
      <c r="P3" s="1">
        <f>$A$3*12/52/5</f>
        <v>46.153846153846153</v>
      </c>
      <c r="Q3">
        <v>0</v>
      </c>
      <c r="R3" s="1">
        <f>Q3*P3</f>
        <v>0</v>
      </c>
    </row>
    <row r="4" spans="1:18" x14ac:dyDescent="0.2">
      <c r="C4" t="s">
        <v>8</v>
      </c>
      <c r="D4" s="1">
        <f>$D$3/2</f>
        <v>23.076923076923077</v>
      </c>
      <c r="E4">
        <v>80</v>
      </c>
      <c r="F4" s="1">
        <f>D4*E4</f>
        <v>1846.1538461538462</v>
      </c>
      <c r="I4" t="s">
        <v>8</v>
      </c>
      <c r="J4" s="1">
        <f>$D$3/2</f>
        <v>23.076923076923077</v>
      </c>
      <c r="K4">
        <v>0</v>
      </c>
      <c r="L4" s="1">
        <f>J4*K4</f>
        <v>0</v>
      </c>
      <c r="O4" t="s">
        <v>8</v>
      </c>
      <c r="P4" s="1">
        <f>$D$3/2</f>
        <v>23.076923076923077</v>
      </c>
      <c r="Q4">
        <v>0</v>
      </c>
      <c r="R4" s="1">
        <f>P4*Q4</f>
        <v>0</v>
      </c>
    </row>
    <row r="5" spans="1:18" x14ac:dyDescent="0.2">
      <c r="C5" t="s">
        <v>9</v>
      </c>
      <c r="D5" s="1">
        <f>$D$3*0.9</f>
        <v>41.53846153846154</v>
      </c>
      <c r="E5">
        <v>30</v>
      </c>
      <c r="F5" s="1">
        <f t="shared" ref="F5:F10" si="0">E5*D5</f>
        <v>1246.1538461538462</v>
      </c>
      <c r="I5" t="s">
        <v>9</v>
      </c>
      <c r="J5" s="1">
        <f>$D$3*0.9</f>
        <v>41.53846153846154</v>
      </c>
      <c r="K5">
        <v>30</v>
      </c>
      <c r="L5" s="1">
        <f t="shared" ref="L5:L10" si="1">K5*J5</f>
        <v>1246.1538461538462</v>
      </c>
      <c r="O5" t="s">
        <v>9</v>
      </c>
      <c r="P5" s="1">
        <f>$D$3*0.9</f>
        <v>41.53846153846154</v>
      </c>
      <c r="Q5">
        <v>30</v>
      </c>
      <c r="R5" s="1">
        <f t="shared" ref="R5:R10" si="2">Q5*P5</f>
        <v>1246.1538461538462</v>
      </c>
    </row>
    <row r="6" spans="1:18" x14ac:dyDescent="0.2">
      <c r="C6" t="s">
        <v>10</v>
      </c>
      <c r="D6" s="1">
        <f>$D$3*0.9</f>
        <v>41.53846153846154</v>
      </c>
      <c r="E6">
        <v>165</v>
      </c>
      <c r="F6" s="1">
        <f t="shared" si="0"/>
        <v>6853.8461538461543</v>
      </c>
      <c r="I6" t="s">
        <v>10</v>
      </c>
      <c r="J6" s="1">
        <f>$D$3*0.9</f>
        <v>41.53846153846154</v>
      </c>
      <c r="K6">
        <v>165</v>
      </c>
      <c r="L6" s="1">
        <f t="shared" si="1"/>
        <v>6853.8461538461543</v>
      </c>
      <c r="O6" t="s">
        <v>10</v>
      </c>
      <c r="P6" s="1">
        <f>$D$3*0.9</f>
        <v>41.53846153846154</v>
      </c>
      <c r="Q6">
        <v>165</v>
      </c>
      <c r="R6" s="1">
        <f t="shared" si="2"/>
        <v>6853.8461538461543</v>
      </c>
    </row>
    <row r="7" spans="1:18" x14ac:dyDescent="0.2">
      <c r="C7" t="s">
        <v>11</v>
      </c>
      <c r="D7" s="1">
        <f>-$D$5</f>
        <v>-41.53846153846154</v>
      </c>
      <c r="E7">
        <v>30</v>
      </c>
      <c r="F7" s="1">
        <f t="shared" si="0"/>
        <v>-1246.1538461538462</v>
      </c>
      <c r="I7" t="s">
        <v>11</v>
      </c>
      <c r="J7" s="1">
        <f>-$D$5</f>
        <v>-41.53846153846154</v>
      </c>
      <c r="K7">
        <v>30</v>
      </c>
      <c r="L7" s="1">
        <f t="shared" si="1"/>
        <v>-1246.1538461538462</v>
      </c>
      <c r="O7" t="s">
        <v>11</v>
      </c>
      <c r="P7" s="1">
        <f>-$D$5</f>
        <v>-41.53846153846154</v>
      </c>
      <c r="Q7">
        <v>0</v>
      </c>
      <c r="R7" s="1">
        <f t="shared" si="2"/>
        <v>0</v>
      </c>
    </row>
    <row r="8" spans="1:18" x14ac:dyDescent="0.2">
      <c r="C8" t="s">
        <v>12</v>
      </c>
      <c r="D8" s="1">
        <f>-$D$6</f>
        <v>-41.53846153846154</v>
      </c>
      <c r="E8">
        <v>10</v>
      </c>
      <c r="F8" s="1">
        <f t="shared" si="0"/>
        <v>-415.38461538461542</v>
      </c>
      <c r="I8" t="s">
        <v>12</v>
      </c>
      <c r="J8" s="1">
        <f>-$D$6</f>
        <v>-41.53846153846154</v>
      </c>
      <c r="K8">
        <v>50</v>
      </c>
      <c r="L8" s="1">
        <f t="shared" si="1"/>
        <v>-2076.9230769230771</v>
      </c>
      <c r="O8" t="s">
        <v>12</v>
      </c>
      <c r="P8" s="1">
        <f>-$D$6</f>
        <v>-41.53846153846154</v>
      </c>
      <c r="Q8">
        <v>0</v>
      </c>
      <c r="R8" s="1">
        <f t="shared" si="2"/>
        <v>0</v>
      </c>
    </row>
    <row r="9" spans="1:18" x14ac:dyDescent="0.2">
      <c r="B9" t="s">
        <v>13</v>
      </c>
      <c r="C9" t="s">
        <v>9</v>
      </c>
      <c r="D9" s="1">
        <f>-$D$5*0.92</f>
        <v>-38.215384615384622</v>
      </c>
      <c r="E9">
        <v>30</v>
      </c>
      <c r="F9" s="1">
        <f t="shared" si="0"/>
        <v>-1146.4615384615386</v>
      </c>
      <c r="H9" t="s">
        <v>13</v>
      </c>
      <c r="I9" t="s">
        <v>9</v>
      </c>
      <c r="J9" s="1">
        <f>-$D$5*0.92</f>
        <v>-38.215384615384622</v>
      </c>
      <c r="K9">
        <v>30</v>
      </c>
      <c r="L9" s="1">
        <f t="shared" si="1"/>
        <v>-1146.4615384615386</v>
      </c>
      <c r="N9" t="s">
        <v>13</v>
      </c>
      <c r="O9" t="s">
        <v>9</v>
      </c>
      <c r="P9" s="1">
        <f>-$D$5*0.92</f>
        <v>-38.215384615384622</v>
      </c>
      <c r="Q9">
        <v>30</v>
      </c>
      <c r="R9" s="1">
        <f t="shared" si="2"/>
        <v>-1146.4615384615386</v>
      </c>
    </row>
    <row r="10" spans="1:18" x14ac:dyDescent="0.2">
      <c r="B10" t="s">
        <v>13</v>
      </c>
      <c r="C10" t="s">
        <v>10</v>
      </c>
      <c r="D10" s="1">
        <f>-$D$6*0.92</f>
        <v>-38.215384615384622</v>
      </c>
      <c r="E10">
        <v>165</v>
      </c>
      <c r="F10" s="1">
        <f t="shared" si="0"/>
        <v>-6305.5384615384628</v>
      </c>
      <c r="H10" t="s">
        <v>13</v>
      </c>
      <c r="I10" t="s">
        <v>10</v>
      </c>
      <c r="J10" s="1">
        <f>-$D$6*0.92</f>
        <v>-38.215384615384622</v>
      </c>
      <c r="K10">
        <v>165</v>
      </c>
      <c r="L10" s="1">
        <f t="shared" si="1"/>
        <v>-6305.5384615384628</v>
      </c>
      <c r="N10" t="s">
        <v>13</v>
      </c>
      <c r="O10" t="s">
        <v>10</v>
      </c>
      <c r="P10" s="1">
        <f>-$D$6*0.92</f>
        <v>-38.215384615384622</v>
      </c>
      <c r="Q10">
        <v>165</v>
      </c>
      <c r="R10" s="1">
        <f t="shared" si="2"/>
        <v>-6305.5384615384628</v>
      </c>
    </row>
    <row r="11" spans="1:18" x14ac:dyDescent="0.2">
      <c r="F11" s="3">
        <f>SUM(F3:F10)</f>
        <v>2678.7692307692305</v>
      </c>
      <c r="J11" s="1"/>
      <c r="L11" s="3">
        <f>SUM(L3:L10)</f>
        <v>1017.2307692307677</v>
      </c>
      <c r="P11" s="1"/>
      <c r="R11" s="3">
        <f>SUM(R3:R10)</f>
        <v>647.99999999999818</v>
      </c>
    </row>
    <row r="12" spans="1:18" x14ac:dyDescent="0.2">
      <c r="C12" s="4" t="s">
        <v>14</v>
      </c>
      <c r="D12" s="5" t="s">
        <v>15</v>
      </c>
      <c r="I12" s="4" t="s">
        <v>14</v>
      </c>
      <c r="J12" s="5" t="s">
        <v>15</v>
      </c>
      <c r="L12" s="1"/>
      <c r="O12" s="4" t="s">
        <v>14</v>
      </c>
      <c r="P12" s="5" t="s">
        <v>15</v>
      </c>
      <c r="R12" s="1"/>
    </row>
    <row r="13" spans="1:18" x14ac:dyDescent="0.2">
      <c r="A13" s="18" t="s">
        <v>45</v>
      </c>
      <c r="D13" s="1" t="s">
        <v>16</v>
      </c>
      <c r="F13" s="1">
        <f>$A$3*9</f>
        <v>9000</v>
      </c>
      <c r="J13" s="1" t="s">
        <v>16</v>
      </c>
      <c r="L13" s="1">
        <f>$A$3*9</f>
        <v>9000</v>
      </c>
      <c r="P13" s="1" t="s">
        <v>16</v>
      </c>
      <c r="R13" s="1">
        <f>$A$3*9</f>
        <v>9000</v>
      </c>
    </row>
    <row r="14" spans="1:18" x14ac:dyDescent="0.2">
      <c r="A14" s="18" t="s">
        <v>46</v>
      </c>
      <c r="D14" s="1" t="s">
        <v>17</v>
      </c>
      <c r="F14" s="1">
        <f>$A$3*9*$C$47</f>
        <v>1755</v>
      </c>
      <c r="J14" s="1" t="s">
        <v>17</v>
      </c>
      <c r="L14" s="1">
        <f>$A$3*9*$C$47</f>
        <v>1755</v>
      </c>
      <c r="P14" s="1" t="s">
        <v>17</v>
      </c>
      <c r="R14" s="1">
        <f>$A$3*9*$C$47</f>
        <v>1755</v>
      </c>
    </row>
    <row r="15" spans="1:18" x14ac:dyDescent="0.2">
      <c r="D15" s="1" t="s">
        <v>18</v>
      </c>
      <c r="F15" s="1">
        <f>IF((($A$3-($C$40*$A$3))&lt;$E$50),(($A$3-$C$49-($C$40*$A$3))*9*$C$50)-(9*$C$52),((($A$3-($A$3*$C$40)-$E$50)*9*$C$51)+(($E$50-$C$49)*9*$C$50)-(9*$C$52)))</f>
        <v>239.70600000000002</v>
      </c>
      <c r="J15" s="1" t="s">
        <v>18</v>
      </c>
      <c r="L15" s="1">
        <f>IF((($A$3-($C$40*$A$3))&lt;$E$50),(($A$3-$C$49-($C$40*$A$3))*9*$C$50)-(9*$C$52),((($A$3-($A$3*$C$40)-$E$50)*9*$C$51)+(($E$50-$C$49)*9*$C$50)-(9*$C$52)))</f>
        <v>239.70600000000002</v>
      </c>
      <c r="P15" s="1" t="s">
        <v>18</v>
      </c>
      <c r="R15" s="1">
        <f>IF((($A$3-($C$40*$A$3))&lt;$E$50),(($A$3-$C$49-($C$40*$A$3))*9*$C$50)-(9*$C$52),((($A$3-($A$3*$C$40)-$E$50)*9*$C$51)+(($E$50-$C$49)*9*$C$50)-(9*$C$52)))</f>
        <v>239.70600000000002</v>
      </c>
    </row>
    <row r="16" spans="1:18" x14ac:dyDescent="0.2">
      <c r="F16" s="3">
        <f>SUM(F13:F15)</f>
        <v>10994.706</v>
      </c>
      <c r="J16" s="1"/>
      <c r="L16" s="3">
        <f>SUM(L13:L15)</f>
        <v>10994.706</v>
      </c>
      <c r="P16" s="1"/>
      <c r="R16" s="3">
        <f>SUM(R13:R15)</f>
        <v>10994.706</v>
      </c>
    </row>
    <row r="17" spans="3:18" x14ac:dyDescent="0.2">
      <c r="D17" s="5" t="s">
        <v>19</v>
      </c>
      <c r="J17" s="5" t="s">
        <v>19</v>
      </c>
      <c r="L17" s="1"/>
      <c r="P17" s="5" t="s">
        <v>19</v>
      </c>
      <c r="R17" s="1"/>
    </row>
    <row r="18" spans="3:18" x14ac:dyDescent="0.2">
      <c r="D18" s="1" t="s">
        <v>16</v>
      </c>
      <c r="F18" s="1">
        <f>F11</f>
        <v>2678.7692307692305</v>
      </c>
      <c r="J18" s="1" t="s">
        <v>16</v>
      </c>
      <c r="L18" s="1">
        <f>L11</f>
        <v>1017.2307692307677</v>
      </c>
      <c r="P18" s="1" t="s">
        <v>16</v>
      </c>
      <c r="R18" s="1">
        <f>R11</f>
        <v>647.99999999999818</v>
      </c>
    </row>
    <row r="19" spans="3:18" x14ac:dyDescent="0.2">
      <c r="D19" s="1" t="s">
        <v>17</v>
      </c>
      <c r="F19" s="1">
        <f>$A$3*9*$C$47</f>
        <v>1755</v>
      </c>
      <c r="J19" s="1" t="s">
        <v>17</v>
      </c>
      <c r="L19" s="1">
        <f>$A$3*9*$C$47</f>
        <v>1755</v>
      </c>
      <c r="P19" s="1" t="s">
        <v>17</v>
      </c>
      <c r="R19" s="1">
        <f>$A$3*9*$C$47</f>
        <v>1755</v>
      </c>
    </row>
    <row r="20" spans="3:18" x14ac:dyDescent="0.2">
      <c r="D20" s="1" t="s">
        <v>20</v>
      </c>
      <c r="F20" s="1">
        <f>F40</f>
        <v>-99.507692307692423</v>
      </c>
      <c r="J20" s="1" t="s">
        <v>20</v>
      </c>
      <c r="L20" s="1">
        <f>L40</f>
        <v>46.707692307692355</v>
      </c>
      <c r="P20" s="1" t="s">
        <v>20</v>
      </c>
      <c r="R20" s="1">
        <f>R40</f>
        <v>79.200000000000045</v>
      </c>
    </row>
    <row r="21" spans="3:18" x14ac:dyDescent="0.2">
      <c r="D21" s="1" t="s">
        <v>21</v>
      </c>
      <c r="F21" s="1">
        <f>(SUM(F3:F8)-(9*$C$49))*$C$50</f>
        <v>505.04815384615409</v>
      </c>
      <c r="J21" s="1" t="s">
        <v>21</v>
      </c>
      <c r="L21" s="1">
        <f>(SUM(L3:L8)-(9*$C$49))*$C$50</f>
        <v>275.75584615384622</v>
      </c>
      <c r="P21" s="1" t="s">
        <v>21</v>
      </c>
      <c r="R21" s="1">
        <f>(SUM(R3:R8)-(9*$C$49))*$C$50</f>
        <v>224.80200000000002</v>
      </c>
    </row>
    <row r="22" spans="3:18" x14ac:dyDescent="0.2">
      <c r="F22" s="3">
        <f>SUM(F18:F21)</f>
        <v>4839.3096923076928</v>
      </c>
      <c r="J22" s="1"/>
      <c r="L22" s="3">
        <f>SUM(L18:L21)</f>
        <v>3094.6943076923062</v>
      </c>
      <c r="P22" s="1"/>
      <c r="R22" s="3">
        <f>SUM(R18:R21)</f>
        <v>2707.0019999999981</v>
      </c>
    </row>
    <row r="23" spans="3:18" x14ac:dyDescent="0.2">
      <c r="J23" s="1"/>
      <c r="L23" s="1"/>
      <c r="P23" s="1"/>
      <c r="R23" s="1"/>
    </row>
    <row r="24" spans="3:18" x14ac:dyDescent="0.2">
      <c r="C24" s="4" t="s">
        <v>22</v>
      </c>
      <c r="D24" s="5" t="s">
        <v>15</v>
      </c>
      <c r="I24" s="4" t="s">
        <v>22</v>
      </c>
      <c r="J24" s="5" t="s">
        <v>15</v>
      </c>
      <c r="L24" s="1"/>
      <c r="O24" s="4" t="s">
        <v>22</v>
      </c>
      <c r="P24" s="5" t="s">
        <v>15</v>
      </c>
      <c r="R24" s="1"/>
    </row>
    <row r="25" spans="3:18" x14ac:dyDescent="0.2">
      <c r="D25" s="1" t="s">
        <v>16</v>
      </c>
      <c r="F25" s="1">
        <f>$A$3*9</f>
        <v>9000</v>
      </c>
      <c r="J25" s="1" t="s">
        <v>16</v>
      </c>
      <c r="L25" s="1">
        <f>$A$3*9</f>
        <v>9000</v>
      </c>
      <c r="P25" s="1" t="s">
        <v>16</v>
      </c>
      <c r="R25" s="1">
        <f>$A$3*9</f>
        <v>9000</v>
      </c>
    </row>
    <row r="26" spans="3:18" x14ac:dyDescent="0.2">
      <c r="D26" s="1" t="s">
        <v>17</v>
      </c>
      <c r="F26" s="1">
        <f>$A$3*9*$C$48</f>
        <v>2115</v>
      </c>
      <c r="J26" s="1" t="s">
        <v>17</v>
      </c>
      <c r="L26" s="1">
        <f>$A$3*9*$C$48</f>
        <v>2115</v>
      </c>
      <c r="P26" s="1" t="s">
        <v>17</v>
      </c>
      <c r="R26" s="1">
        <f>$A$3*9*$C$48</f>
        <v>2115</v>
      </c>
    </row>
    <row r="27" spans="3:18" x14ac:dyDescent="0.2">
      <c r="D27" s="1" t="s">
        <v>18</v>
      </c>
      <c r="F27" s="1">
        <f>($A$3-$C$49-($A$3*$C$41))*9*$C$51</f>
        <v>280.69200000000001</v>
      </c>
      <c r="J27" s="1" t="s">
        <v>18</v>
      </c>
      <c r="L27" s="1">
        <f>($A$3-$C$49-($A$3*$C$41))*9*$C$51</f>
        <v>280.69200000000001</v>
      </c>
      <c r="P27" s="1" t="s">
        <v>18</v>
      </c>
      <c r="R27" s="1">
        <f>($A$3-$C$49-($A$3*$C$41))*9*$C$51</f>
        <v>280.69200000000001</v>
      </c>
    </row>
    <row r="28" spans="3:18" x14ac:dyDescent="0.2">
      <c r="F28" s="3">
        <f>SUM(F25:F27)</f>
        <v>11395.691999999999</v>
      </c>
      <c r="J28" s="1"/>
      <c r="L28" s="3">
        <f>SUM(L25:L27)</f>
        <v>11395.691999999999</v>
      </c>
      <c r="P28" s="1"/>
      <c r="R28" s="3">
        <f>SUM(R25:R27)</f>
        <v>11395.691999999999</v>
      </c>
    </row>
    <row r="29" spans="3:18" x14ac:dyDescent="0.2">
      <c r="D29" s="5" t="s">
        <v>19</v>
      </c>
      <c r="J29" s="5" t="s">
        <v>19</v>
      </c>
      <c r="L29" s="1"/>
      <c r="P29" s="5" t="s">
        <v>19</v>
      </c>
      <c r="R29" s="1"/>
    </row>
    <row r="30" spans="3:18" x14ac:dyDescent="0.2">
      <c r="D30" s="1" t="s">
        <v>16</v>
      </c>
      <c r="F30" s="1">
        <f>F11</f>
        <v>2678.7692307692305</v>
      </c>
      <c r="J30" s="1" t="s">
        <v>16</v>
      </c>
      <c r="L30" s="1">
        <f>L11</f>
        <v>1017.2307692307677</v>
      </c>
      <c r="P30" s="1" t="s">
        <v>16</v>
      </c>
      <c r="R30" s="1">
        <f>R11</f>
        <v>647.99999999999818</v>
      </c>
    </row>
    <row r="31" spans="3:18" x14ac:dyDescent="0.2">
      <c r="D31" s="1" t="s">
        <v>17</v>
      </c>
      <c r="F31" s="1">
        <f>$A$3*9*$C$48</f>
        <v>2115</v>
      </c>
      <c r="G31" s="1"/>
      <c r="H31" s="1"/>
      <c r="J31" s="1" t="s">
        <v>17</v>
      </c>
      <c r="L31" s="1">
        <f>$A$3*9*$C$48</f>
        <v>2115</v>
      </c>
      <c r="P31" s="1" t="s">
        <v>17</v>
      </c>
      <c r="R31" s="1">
        <f>$A$3*9*$C$48</f>
        <v>2115</v>
      </c>
    </row>
    <row r="32" spans="3:18" x14ac:dyDescent="0.2">
      <c r="D32" s="1" t="s">
        <v>20</v>
      </c>
      <c r="F32" s="1">
        <f>F41</f>
        <v>102.40153846153839</v>
      </c>
      <c r="G32" s="1"/>
      <c r="H32" s="1"/>
      <c r="J32" s="1" t="s">
        <v>20</v>
      </c>
      <c r="L32" s="1">
        <f>L41</f>
        <v>295.32461538461541</v>
      </c>
      <c r="P32" s="1" t="s">
        <v>20</v>
      </c>
      <c r="R32" s="1">
        <f>R41</f>
        <v>112.55538461538464</v>
      </c>
    </row>
    <row r="33" spans="1:18" x14ac:dyDescent="0.2">
      <c r="D33" s="1" t="s">
        <v>21</v>
      </c>
      <c r="F33" s="1">
        <f>(SUM(F3:F8)-(9*$C$49))*$C$51</f>
        <v>505.04815384615409</v>
      </c>
      <c r="J33" s="1" t="s">
        <v>21</v>
      </c>
      <c r="L33" s="1">
        <f>(SUM(L3:L8)-(9*$C$49))*$C$51</f>
        <v>275.75584615384622</v>
      </c>
      <c r="P33" s="1" t="s">
        <v>21</v>
      </c>
      <c r="R33" s="1">
        <f>(SUM(R3:R8)-(9*$C$49))*$C$51</f>
        <v>224.80200000000002</v>
      </c>
    </row>
    <row r="34" spans="1:18" x14ac:dyDescent="0.2">
      <c r="F34" s="3">
        <f>SUM(F30:F33)</f>
        <v>5401.2189230769236</v>
      </c>
      <c r="J34" s="1"/>
      <c r="L34" s="3">
        <f>SUM(L30:L33)</f>
        <v>3703.311230769229</v>
      </c>
      <c r="P34" s="1"/>
      <c r="R34" s="3">
        <f>SUM(R30:R33)</f>
        <v>3100.3573846153831</v>
      </c>
    </row>
    <row r="35" spans="1:18" x14ac:dyDescent="0.2">
      <c r="J35" s="1"/>
      <c r="L35" s="1"/>
      <c r="P35" s="1"/>
      <c r="R35" s="1"/>
    </row>
    <row r="36" spans="1:18" x14ac:dyDescent="0.2">
      <c r="A36" t="s">
        <v>28</v>
      </c>
      <c r="J36" s="1"/>
      <c r="L36" s="1"/>
      <c r="P36" s="1"/>
      <c r="R36" s="1"/>
    </row>
    <row r="37" spans="1:18" x14ac:dyDescent="0.2">
      <c r="J37" s="1"/>
      <c r="L37" s="1"/>
      <c r="P37" s="1"/>
      <c r="R37" s="1"/>
    </row>
    <row r="38" spans="1:18" s="6" customFormat="1" x14ac:dyDescent="0.2">
      <c r="D38" s="7"/>
      <c r="F38" s="7"/>
      <c r="J38" s="7"/>
      <c r="L38" s="7"/>
      <c r="P38" s="7"/>
      <c r="R38" s="7"/>
    </row>
    <row r="39" spans="1:18" ht="51" x14ac:dyDescent="0.2">
      <c r="B39" t="s">
        <v>23</v>
      </c>
      <c r="D39" s="8" t="s">
        <v>24</v>
      </c>
      <c r="E39" s="8" t="s">
        <v>25</v>
      </c>
      <c r="F39" s="1" t="s">
        <v>26</v>
      </c>
      <c r="J39" s="8" t="s">
        <v>24</v>
      </c>
      <c r="K39" s="8" t="s">
        <v>25</v>
      </c>
      <c r="L39" s="1" t="s">
        <v>26</v>
      </c>
      <c r="P39" s="8" t="s">
        <v>24</v>
      </c>
      <c r="Q39" s="8" t="s">
        <v>25</v>
      </c>
      <c r="R39" s="1" t="s">
        <v>26</v>
      </c>
    </row>
    <row r="40" spans="1:18" x14ac:dyDescent="0.2">
      <c r="A40" t="s">
        <v>14</v>
      </c>
      <c r="B40" t="s">
        <v>27</v>
      </c>
      <c r="C40" s="14">
        <f>'Higher pd'!C40</f>
        <v>8.7999999999999995E-2</v>
      </c>
      <c r="D40" s="1">
        <f>$A$3*$C$40*9</f>
        <v>792</v>
      </c>
      <c r="E40" s="1">
        <f>SUM(F3:F8)*$C$40</f>
        <v>891.50769230769242</v>
      </c>
      <c r="F40" s="1">
        <f>D40-E40</f>
        <v>-99.507692307692423</v>
      </c>
      <c r="J40" s="1">
        <f>$A$3*$C$40*9</f>
        <v>792</v>
      </c>
      <c r="K40" s="1">
        <f>SUM(L3:L8)*$C$40</f>
        <v>745.29230769230765</v>
      </c>
      <c r="L40" s="1">
        <f>J40-K40</f>
        <v>46.707692307692355</v>
      </c>
      <c r="P40" s="1">
        <f>$A$3*$C$40*9</f>
        <v>792</v>
      </c>
      <c r="Q40" s="1">
        <f>SUM(R3:R8)*$C$40</f>
        <v>712.8</v>
      </c>
      <c r="R40" s="1">
        <f>P40-Q40</f>
        <v>79.200000000000045</v>
      </c>
    </row>
    <row r="41" spans="1:18" x14ac:dyDescent="0.2">
      <c r="A41" t="s">
        <v>22</v>
      </c>
      <c r="B41" t="s">
        <v>27</v>
      </c>
      <c r="C41" s="14">
        <f>'Higher pd'!C41</f>
        <v>5.5E-2</v>
      </c>
      <c r="D41" s="1">
        <f>$A$3*$C$41*9</f>
        <v>495</v>
      </c>
      <c r="E41" s="1">
        <f>SUM(F4:F9)*$C$41</f>
        <v>392.59846153846161</v>
      </c>
      <c r="F41" s="1">
        <f>D41-E41</f>
        <v>102.40153846153839</v>
      </c>
      <c r="J41" s="1">
        <f>$A$3*$C$41*9</f>
        <v>495</v>
      </c>
      <c r="K41" s="1">
        <f>SUM(L4:L9)*$C$41</f>
        <v>199.67538461538462</v>
      </c>
      <c r="L41" s="1">
        <f>J41-K41</f>
        <v>295.32461538461541</v>
      </c>
      <c r="P41" s="1">
        <f>$A$3*$C$41*9</f>
        <v>495</v>
      </c>
      <c r="Q41" s="1">
        <f>SUM(R4:R9)*$C$41</f>
        <v>382.44461538461536</v>
      </c>
      <c r="R41" s="1">
        <f>P41-Q41</f>
        <v>112.55538461538464</v>
      </c>
    </row>
    <row r="43" spans="1:18" x14ac:dyDescent="0.2">
      <c r="A43" t="s">
        <v>10</v>
      </c>
      <c r="B43" s="13">
        <f>'Higher pd'!B43</f>
        <v>29.74</v>
      </c>
    </row>
    <row r="46" spans="1:18" x14ac:dyDescent="0.2">
      <c r="B46" t="s">
        <v>23</v>
      </c>
    </row>
    <row r="47" spans="1:18" x14ac:dyDescent="0.2">
      <c r="A47" t="s">
        <v>14</v>
      </c>
      <c r="B47" t="s">
        <v>36</v>
      </c>
      <c r="C47" s="14">
        <f>'Higher pd'!C47</f>
        <v>0.19500000000000001</v>
      </c>
    </row>
    <row r="48" spans="1:18" x14ac:dyDescent="0.2">
      <c r="A48" t="s">
        <v>22</v>
      </c>
      <c r="B48" t="s">
        <v>36</v>
      </c>
      <c r="C48" s="14">
        <f>'Higher pd'!C48</f>
        <v>0.23499999999999999</v>
      </c>
    </row>
    <row r="49" spans="1:6" x14ac:dyDescent="0.2">
      <c r="A49" s="12" t="s">
        <v>37</v>
      </c>
      <c r="C49" s="13">
        <f>'Higher pd'!C49</f>
        <v>719</v>
      </c>
    </row>
    <row r="50" spans="1:6" x14ac:dyDescent="0.2">
      <c r="A50" s="12" t="s">
        <v>39</v>
      </c>
      <c r="C50" s="14">
        <f>'Higher pd'!C50</f>
        <v>0.13800000000000001</v>
      </c>
      <c r="D50" s="15" t="s">
        <v>40</v>
      </c>
      <c r="E50" s="16">
        <f>'Higher pd'!E50</f>
        <v>4167</v>
      </c>
    </row>
    <row r="51" spans="1:6" x14ac:dyDescent="0.2">
      <c r="A51" s="12" t="s">
        <v>39</v>
      </c>
      <c r="C51" s="14">
        <f>'Higher pd'!C51</f>
        <v>0.13800000000000001</v>
      </c>
      <c r="D51" s="15" t="s">
        <v>41</v>
      </c>
      <c r="E51" s="16">
        <f>'Higher pd'!E51</f>
        <v>4167</v>
      </c>
      <c r="F51" s="15" t="s">
        <v>43</v>
      </c>
    </row>
    <row r="52" spans="1:6" x14ac:dyDescent="0.2">
      <c r="A52" s="12" t="s">
        <v>42</v>
      </c>
      <c r="C52" s="17">
        <f>'Higher pd'!C52</f>
        <v>0</v>
      </c>
      <c r="D52" s="15" t="s">
        <v>44</v>
      </c>
    </row>
  </sheetData>
  <sheetProtection password="C5EC" sheet="1" objects="1" scenarios="1"/>
  <protectedRanges>
    <protectedRange sqref="A3" name="Range1"/>
  </protectedRanges>
  <mergeCells count="3">
    <mergeCell ref="D1:E1"/>
    <mergeCell ref="J1:K1"/>
    <mergeCell ref="P1:Q1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Higher pd</vt:lpstr>
      <vt:lpstr>Lower pd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Services</dc:creator>
  <cp:lastModifiedBy>Hicks, Sally</cp:lastModifiedBy>
  <cp:lastPrinted>2009-05-18T09:30:52Z</cp:lastPrinted>
  <dcterms:created xsi:type="dcterms:W3CDTF">2008-04-04T13:57:46Z</dcterms:created>
  <dcterms:modified xsi:type="dcterms:W3CDTF">2019-04-08T10:28:07Z</dcterms:modified>
</cp:coreProperties>
</file>